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Документы\Отдел договорной работы\ОТЧЕТЫ\ЕЖЕМЕСЯЧНЫЕ отчеты\Отчетность ФАС _ Приложение 10 - до 10 числа\2024\5. Май\"/>
    </mc:Choice>
  </mc:AlternateContent>
  <bookViews>
    <workbookView xWindow="0" yWindow="0" windowWidth="28800" windowHeight="14235"/>
  </bookViews>
  <sheets>
    <sheet name="Май 2024 г." sheetId="6" r:id="rId1"/>
  </sheets>
  <definedNames>
    <definedName name="_xlnm._FilterDatabase" localSheetId="0" hidden="1">'Май 2024 г.'!$A$9:$X$78</definedName>
    <definedName name="Цена_за_единицу_товара__работ__услуг__тыс._руб.">'Май 2024 г.'!$Q$4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6" l="1"/>
  <c r="Q38" i="6"/>
  <c r="T38" i="6" s="1"/>
  <c r="Q84" i="6"/>
  <c r="T84" i="6" s="1"/>
  <c r="Q83" i="6"/>
  <c r="T83" i="6" s="1"/>
  <c r="Q82" i="6"/>
  <c r="T82" i="6" s="1"/>
  <c r="Q81" i="6"/>
  <c r="T81" i="6" s="1"/>
  <c r="Q80" i="6"/>
  <c r="T80" i="6" s="1"/>
  <c r="Q69" i="6"/>
  <c r="T69" i="6" s="1"/>
  <c r="Q68" i="6"/>
  <c r="T68" i="6" s="1"/>
  <c r="Q67" i="6"/>
  <c r="T67" i="6" s="1"/>
  <c r="Q66" i="6"/>
  <c r="T66" i="6" s="1"/>
  <c r="Q65" i="6"/>
  <c r="T65" i="6" s="1"/>
  <c r="Q64" i="6"/>
  <c r="T64" i="6" s="1"/>
  <c r="Q63" i="6"/>
  <c r="T63" i="6" s="1"/>
  <c r="Q62" i="6"/>
  <c r="T62" i="6" s="1"/>
  <c r="Q61" i="6"/>
  <c r="T61" i="6" s="1"/>
  <c r="Q60" i="6"/>
  <c r="T60" i="6" s="1"/>
  <c r="Q59" i="6"/>
  <c r="T59" i="6" s="1"/>
  <c r="Q58" i="6"/>
  <c r="T58" i="6" s="1"/>
  <c r="Q57" i="6"/>
  <c r="T57" i="6" s="1"/>
  <c r="Q75" i="6"/>
  <c r="T75" i="6" s="1"/>
  <c r="Q76" i="6"/>
  <c r="T76" i="6" s="1"/>
  <c r="Q77" i="6"/>
  <c r="T77" i="6" s="1"/>
  <c r="Q78" i="6"/>
  <c r="T78" i="6" s="1"/>
  <c r="Q56" i="6"/>
  <c r="T56" i="6" s="1"/>
  <c r="Q45" i="6"/>
  <c r="T45" i="6" s="1"/>
  <c r="Q44" i="6"/>
  <c r="T44" i="6" s="1"/>
  <c r="Q55" i="6"/>
  <c r="T55" i="6" s="1"/>
  <c r="Q54" i="6"/>
  <c r="T54" i="6" s="1"/>
  <c r="Q53" i="6"/>
  <c r="T53" i="6" s="1"/>
  <c r="Q52" i="6"/>
  <c r="T52" i="6" s="1"/>
  <c r="Q46" i="6"/>
  <c r="T46" i="6" s="1"/>
  <c r="Q51" i="6"/>
  <c r="T51" i="6" s="1"/>
  <c r="Q50" i="6"/>
  <c r="Q49" i="6"/>
  <c r="T49" i="6" s="1"/>
  <c r="T50" i="6"/>
  <c r="Q47" i="6"/>
  <c r="T47" i="6" s="1"/>
  <c r="Q43" i="6"/>
  <c r="T43" i="6" s="1"/>
  <c r="Q42" i="6"/>
  <c r="T42" i="6" s="1"/>
  <c r="Q41" i="6"/>
  <c r="T41" i="6" s="1"/>
  <c r="Q40" i="6"/>
  <c r="T40" i="6" s="1"/>
  <c r="Q39" i="6"/>
  <c r="T39" i="6" s="1"/>
  <c r="Q70" i="6"/>
  <c r="T70" i="6" s="1"/>
  <c r="Q37" i="6"/>
  <c r="T37" i="6" s="1"/>
  <c r="Q36" i="6"/>
  <c r="T36" i="6" s="1"/>
  <c r="Q35" i="6"/>
  <c r="T35" i="6" s="1"/>
  <c r="Q34" i="6"/>
  <c r="T34" i="6" s="1"/>
  <c r="Q33" i="6"/>
  <c r="T33" i="6" s="1"/>
  <c r="Q32" i="6"/>
  <c r="T32" i="6" s="1"/>
  <c r="Q31" i="6"/>
  <c r="T31" i="6" s="1"/>
  <c r="Q30" i="6"/>
  <c r="T30" i="6" s="1"/>
  <c r="Q29" i="6"/>
  <c r="T29" i="6" s="1"/>
  <c r="Q28" i="6"/>
  <c r="T28" i="6" s="1"/>
  <c r="Q27" i="6"/>
  <c r="T27" i="6" s="1"/>
  <c r="Q26" i="6"/>
  <c r="T26" i="6" s="1"/>
  <c r="Q25" i="6"/>
  <c r="T25" i="6" s="1"/>
  <c r="Q24" i="6"/>
  <c r="T24" i="6" s="1"/>
  <c r="Q23" i="6"/>
  <c r="T23" i="6" s="1"/>
  <c r="Q22" i="6"/>
  <c r="T22" i="6" s="1"/>
  <c r="Q21" i="6"/>
  <c r="T21" i="6" s="1"/>
  <c r="Q20" i="6"/>
  <c r="T20" i="6" s="1"/>
  <c r="Q19" i="6"/>
  <c r="T19" i="6" s="1"/>
  <c r="Q18" i="6"/>
  <c r="T18" i="6" s="1"/>
  <c r="Q17" i="6"/>
  <c r="T17" i="6" s="1"/>
  <c r="Q16" i="6"/>
  <c r="T16" i="6" s="1"/>
  <c r="Q15" i="6"/>
  <c r="T15" i="6" s="1"/>
  <c r="Q14" i="6"/>
  <c r="T14" i="6" s="1"/>
  <c r="Q13" i="6"/>
  <c r="T13" i="6" s="1"/>
  <c r="Q12" i="6"/>
  <c r="T12" i="6" s="1"/>
  <c r="Q11" i="6"/>
  <c r="T11" i="6" s="1"/>
</calcChain>
</file>

<file path=xl/sharedStrings.xml><?xml version="1.0" encoding="utf-8"?>
<sst xmlns="http://schemas.openxmlformats.org/spreadsheetml/2006/main" count="333" uniqueCount="233">
  <si>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</si>
  <si>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</si>
  <si>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</si>
  <si>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</si>
  <si>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</si>
  <si>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</si>
  <si>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</si>
  <si>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</si>
  <si>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</si>
  <si>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</si>
  <si>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</si>
  <si>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</si>
  <si>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</si>
  <si>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</si>
  <si>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</si>
  <si>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</si>
  <si>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</si>
  <si>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</si>
  <si>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</si>
  <si>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</si>
  <si>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</si>
  <si>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</si>
  <si>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</si>
  <si>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</si>
  <si>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</si>
  <si>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</si>
  <si>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</si>
  <si>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</si>
  <si>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</si>
  <si>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</si>
  <si>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Номер договора</t>
  </si>
  <si>
    <t xml:space="preserve">Услуги производственного назначения </t>
  </si>
  <si>
    <t xml:space="preserve">усл. ед. </t>
  </si>
  <si>
    <t>усл. ед</t>
  </si>
  <si>
    <t>усл.ед.</t>
  </si>
  <si>
    <t>ООО "НОРНИКЕЛЬ СПУТНИК"</t>
  </si>
  <si>
    <t>Поставка</t>
  </si>
  <si>
    <t>ЗФ ПАО "ГМК "Норильский никель"</t>
  </si>
  <si>
    <t>ООО "Кайрос Инжиниринг"</t>
  </si>
  <si>
    <t>Договор поставки ТМЦ</t>
  </si>
  <si>
    <t>ООО "ТПО "РИЛ"</t>
  </si>
  <si>
    <t>МИМА ЮРИЙ Владимирович</t>
  </si>
  <si>
    <t>СВЕТЛИЧНЫЙ ЕВГЕНИЙ Александрович</t>
  </si>
  <si>
    <t>СОЛОВЬЕВ АЛЕКСАНДР Павлович</t>
  </si>
  <si>
    <t>ООО ПТБ "АРКТИКА"</t>
  </si>
  <si>
    <t>ООО "БИРИНГ"</t>
  </si>
  <si>
    <t>ООО "ДНП"</t>
  </si>
  <si>
    <t>Договор строительного подряда</t>
  </si>
  <si>
    <t>ЛЫГАЛОВ ИГОРЬ Владимирович</t>
  </si>
  <si>
    <t xml:space="preserve">
о способах приобретения, стоимости и объемах товаров, необходимых для оказания услуг по транспортировке газа  по трубопровадам АО "Норильсктрансгаз" в мае 2024 г.</t>
  </si>
  <si>
    <t>Поставка болтов М12*120</t>
  </si>
  <si>
    <t>Поставка МТР (флаги, указатели аэродромные)</t>
  </si>
  <si>
    <t>НТГ/БОД/2024-113</t>
  </si>
  <si>
    <t>НТГ/БОД/2024-103</t>
  </si>
  <si>
    <t>НТГ/БОД/2024-114</t>
  </si>
  <si>
    <t>ООО "НПК "СПЕЦИАЛЬНАЯ МЕТАЛЛУРГИЯ"</t>
  </si>
  <si>
    <t>ООО "АЭРОСКАЙ"</t>
  </si>
  <si>
    <t>263/2024</t>
  </si>
  <si>
    <t>310/2024</t>
  </si>
  <si>
    <t>291/2024</t>
  </si>
  <si>
    <t>ООО "ЭЛЕКТРИК ТД"</t>
  </si>
  <si>
    <t>ООО "ЭКС"</t>
  </si>
  <si>
    <t>ООО "УФ-ТЕХ"</t>
  </si>
  <si>
    <t>Поставка ПГС, газов</t>
  </si>
  <si>
    <t>Поставка трубной продукциии</t>
  </si>
  <si>
    <t>292/2024</t>
  </si>
  <si>
    <t>283/2024</t>
  </si>
  <si>
    <t>157/2024-ДП 1</t>
  </si>
  <si>
    <t>161/2024-ДП 2</t>
  </si>
  <si>
    <t>324/2024</t>
  </si>
  <si>
    <t>308/2024</t>
  </si>
  <si>
    <t>301/2024</t>
  </si>
  <si>
    <t>42/2024-ДП 2</t>
  </si>
  <si>
    <t>303/2024</t>
  </si>
  <si>
    <t>319/2024</t>
  </si>
  <si>
    <t>307/2024</t>
  </si>
  <si>
    <t>309/2024</t>
  </si>
  <si>
    <t>271/2024</t>
  </si>
  <si>
    <t>262/2024</t>
  </si>
  <si>
    <t>293/2024</t>
  </si>
  <si>
    <t>278/2024</t>
  </si>
  <si>
    <t>298/2024</t>
  </si>
  <si>
    <t>248/2024</t>
  </si>
  <si>
    <t>287/2024</t>
  </si>
  <si>
    <t>493/2023-ДС 1</t>
  </si>
  <si>
    <t>ООО "ТЕХНОМИР - ВОСТОК"</t>
  </si>
  <si>
    <t>ООО "ЛАВА"</t>
  </si>
  <si>
    <t>ООО "Инсистем"</t>
  </si>
  <si>
    <t>ООО "Инвест-Станко"</t>
  </si>
  <si>
    <t>ООО "ЕЛТА"</t>
  </si>
  <si>
    <t>ООО "ДИОЛАБ - С"</t>
  </si>
  <si>
    <t>ООО "ГОРСВЕТ"</t>
  </si>
  <si>
    <t>ООО "БИЛЛИЯ"</t>
  </si>
  <si>
    <t>ООО "АСК"</t>
  </si>
  <si>
    <t>ООО "АРСА"</t>
  </si>
  <si>
    <t>ООО "АВАНГАРД"</t>
  </si>
  <si>
    <t>КОЧКАНЯН ЭДГАР Григорьевич</t>
  </si>
  <si>
    <t>КОПЫЛОВ ПАВЕЛ Владимирович</t>
  </si>
  <si>
    <t>АО "ВМЗ"</t>
  </si>
  <si>
    <t>Приобретение лицензий на ПО</t>
  </si>
  <si>
    <t>ПАО "СОФТЛАЙН"</t>
  </si>
  <si>
    <t>ООО "ТПК АСТРУМ"</t>
  </si>
  <si>
    <t>КУРКИНА КРИСТИНА Арифулловна</t>
  </si>
  <si>
    <t>КОЛЕСОВ САВЕЛИЙ Александрович</t>
  </si>
  <si>
    <t>НТГ/БОД/2024-108</t>
  </si>
  <si>
    <t>НТГ/БОД/2024-105</t>
  </si>
  <si>
    <t>325/2024</t>
  </si>
  <si>
    <t>НТГ/БОД/2024-120</t>
  </si>
  <si>
    <t>НТГ/БОД/2024-104</t>
  </si>
  <si>
    <t>НТГ/БОД/2024-101</t>
  </si>
  <si>
    <t>НТГ/БОД/2024-116</t>
  </si>
  <si>
    <t>НТГ/БОД/2024-119</t>
  </si>
  <si>
    <t>247/2024</t>
  </si>
  <si>
    <t>-</t>
  </si>
  <si>
    <t>НТГ/301-пр-ззк от 02.05.2024</t>
  </si>
  <si>
    <t>№НТГ/381-пр-ззк от 02.05.2024</t>
  </si>
  <si>
    <t>Участие работников в семинарах, конференциях и иных мероприятиях, связанных с обучением</t>
  </si>
  <si>
    <t>Проживание работников в гостиницах</t>
  </si>
  <si>
    <t>Выполнение для Общества работ по текущему ремонту автотранспортной техники</t>
  </si>
  <si>
    <t>НТГ/БОД/2024-107</t>
  </si>
  <si>
    <t>НТГ/БОД/2024-106</t>
  </si>
  <si>
    <t>НТГ/БОД/2024-117</t>
  </si>
  <si>
    <t>НТГ/БОД/2024-100</t>
  </si>
  <si>
    <t>НТГ/БОД/2024-121</t>
  </si>
  <si>
    <t>НТГ/БОД/2024-98</t>
  </si>
  <si>
    <t>НТГ/БОД/2024-122</t>
  </si>
  <si>
    <t>НТГ/БОД/2024-118</t>
  </si>
  <si>
    <t>НТГ/БОД/2024-109</t>
  </si>
  <si>
    <t>НТГ/БОД/2024-111</t>
  </si>
  <si>
    <t>НТГ/БОД/2024-102</t>
  </si>
  <si>
    <t>ОЧУ ДПО "СПЕЦИАЛИСТ"</t>
  </si>
  <si>
    <t>ОП ООО "ПРОСЕРВИС ВОСТОК" г. Норильск</t>
  </si>
  <si>
    <t>ООО "УРАЛ-ПРЕСС НИЖНИЙ НОВГОРОД"</t>
  </si>
  <si>
    <t>ООО "ПРОТЕЙ ТЛ"</t>
  </si>
  <si>
    <t>ООО "Межрегиональный информационный центр"</t>
  </si>
  <si>
    <t>ООО "ГЕТ ТРЕНИНГ"</t>
  </si>
  <si>
    <t>АНО ДПО "ЦПР ПРОФИ"</t>
  </si>
  <si>
    <t>Подряд</t>
  </si>
  <si>
    <t>Договор подряда на установку оборудования и программного обеспечения</t>
  </si>
  <si>
    <t>Договор подряда на выполнение проектных и изыскательских работ</t>
  </si>
  <si>
    <t>Иные виды договоров подряда</t>
  </si>
  <si>
    <t>ООО "ЮБС-СЕРВИС"</t>
  </si>
  <si>
    <t>ООО "ПРОЕКТ НП"</t>
  </si>
  <si>
    <t>ООО "КАДАСТРОВОЕ АГЕНТСТВО"</t>
  </si>
  <si>
    <t>269/2024</t>
  </si>
  <si>
    <t>321/2024</t>
  </si>
  <si>
    <t>317/2024</t>
  </si>
  <si>
    <t>302/2024</t>
  </si>
  <si>
    <t>Организация закупок товаров, работ, услуг</t>
  </si>
  <si>
    <t>(захоронению) отходов производства и потребления</t>
  </si>
  <si>
    <t>ПНР котлов БМК ДКС-СС</t>
  </si>
  <si>
    <t>Диагностирование котлов БМК ДКС-СС</t>
  </si>
  <si>
    <t>Оказание услуг по оценке соответствия лифта и устройств безопасности требованиям технического регламента о безопасности</t>
  </si>
  <si>
    <t>Проведение ЭПБ МТ</t>
  </si>
  <si>
    <t>УЧЕБНО-МЕТОДИЧЕСКИЙ ЦЕНТР ФАС РОССИИ</t>
  </si>
  <si>
    <t>ООО "ЭПРОН"</t>
  </si>
  <si>
    <t>ООО "СТРОЙБЫТСЕРВИС"</t>
  </si>
  <si>
    <t>ООО "ИЦ "СЕВЕРЛИФТСЕРВИС"</t>
  </si>
  <si>
    <t>ООО "ГЦЭ-Север"</t>
  </si>
  <si>
    <t>ООО "БЕЗОПАСНОСТЬ В ПРОМЫШЛЕННОСТИ"</t>
  </si>
  <si>
    <t>КГБУЗ "ТАЙМЫРСКАЯ МРБ"</t>
  </si>
  <si>
    <t>АО "НИЦ "ТЕХНОПРОГРЕСС"</t>
  </si>
  <si>
    <t>286/2024</t>
  </si>
  <si>
    <t>326/2024</t>
  </si>
  <si>
    <t>275/2024</t>
  </si>
  <si>
    <t>НС/576-2024 / 267/2024</t>
  </si>
  <si>
    <t>НС/577-2024 / 268/2024</t>
  </si>
  <si>
    <t>НС/625-2024 / 316/2024</t>
  </si>
  <si>
    <t>246/2024</t>
  </si>
  <si>
    <t>289/2024</t>
  </si>
  <si>
    <t>304/2024</t>
  </si>
  <si>
    <t>314/2024</t>
  </si>
  <si>
    <t>315/2024</t>
  </si>
  <si>
    <t>288/2024</t>
  </si>
  <si>
    <t>328/2024</t>
  </si>
  <si>
    <t>Аренда</t>
  </si>
  <si>
    <t>156/2024 / 174/2024</t>
  </si>
  <si>
    <t>495/2023-ДС 1</t>
  </si>
  <si>
    <t>АО "Норильскгазпром"</t>
  </si>
  <si>
    <t>270/2024 / ЗФ-936/2024</t>
  </si>
  <si>
    <t>294/2024 / ЗФ-967/2024</t>
  </si>
  <si>
    <t>266/2024 / ЗФ-925/2024</t>
  </si>
  <si>
    <t>Сублицензионный договор_Гранд-смета_НТГ</t>
  </si>
  <si>
    <t>Перевозка сыпучих грузов автомобильным транспортом</t>
  </si>
  <si>
    <t>услуги ИБ(НН СФ-НТГ)</t>
  </si>
  <si>
    <t>281/2024</t>
  </si>
  <si>
    <t>285/2024</t>
  </si>
  <si>
    <t>272/2024</t>
  </si>
  <si>
    <t>ПАО "ГМК "Норильский никель"</t>
  </si>
  <si>
    <t>ООО "ТАВЭКС"</t>
  </si>
  <si>
    <t>ООО "Норникель Сфера"</t>
  </si>
  <si>
    <t xml:space="preserve">Поставка манометров избыточного давления и устройств давления </t>
  </si>
  <si>
    <t>Поставка хоз.товаров</t>
  </si>
  <si>
    <t>Поставка МТР (кабель, муфта, хомут)</t>
  </si>
  <si>
    <t>Поставка установки оббеззараживания воды</t>
  </si>
  <si>
    <t xml:space="preserve">Поставка погрузчика </t>
  </si>
  <si>
    <t xml:space="preserve">Поставка бульдозера </t>
  </si>
  <si>
    <t>Поставка электротехнических материалов</t>
  </si>
  <si>
    <t>Поставка комплектующих к газоанализатора</t>
  </si>
  <si>
    <t xml:space="preserve">Поставка устройств зарядно-подзарядных </t>
  </si>
  <si>
    <t xml:space="preserve">Поставка станков </t>
  </si>
  <si>
    <t xml:space="preserve">Поставка системы контроля </t>
  </si>
  <si>
    <t xml:space="preserve">Поставка резервуаров </t>
  </si>
  <si>
    <t>Поставка светильников</t>
  </si>
  <si>
    <t>Поставка автошин</t>
  </si>
  <si>
    <t>Поставка асбестовых изделий</t>
  </si>
  <si>
    <t>Поставка видеорегистраторов</t>
  </si>
  <si>
    <t>Поставка мониторов</t>
  </si>
  <si>
    <t>Поставка брусчатки</t>
  </si>
  <si>
    <t xml:space="preserve">Поставка пиломатериала </t>
  </si>
  <si>
    <t>Поставка учебно-тренир.полигона</t>
  </si>
  <si>
    <t>Поставка строительных материалов</t>
  </si>
  <si>
    <t>Поставка хоккейных ворот и шайб</t>
  </si>
  <si>
    <t>Поставка кранов шаровых</t>
  </si>
  <si>
    <t>Поставка канцелярских товаров</t>
  </si>
  <si>
    <t>Поставка синтетического пазлового льда</t>
  </si>
  <si>
    <t>Поставкуа здания мобильного</t>
  </si>
  <si>
    <t xml:space="preserve">Поставка строительных материалов </t>
  </si>
  <si>
    <t xml:space="preserve">аренда движимого имущества </t>
  </si>
  <si>
    <t xml:space="preserve">аренда НИ </t>
  </si>
  <si>
    <t xml:space="preserve">СУС на зем. участок </t>
  </si>
  <si>
    <t>СУС на ЗУ</t>
  </si>
  <si>
    <t xml:space="preserve">СУС на ЗУ </t>
  </si>
  <si>
    <t>Поставка печатных изданий</t>
  </si>
  <si>
    <t>Поставка офисного оборудования, мебели, предметов интерьера, канцелярских и хозяйственных товаро</t>
  </si>
  <si>
    <t>Поставка срочных и аварийных МТР</t>
  </si>
  <si>
    <t xml:space="preserve">Ежегодное приборно-водолазное обследование гидротехнических сооружений (причалов) </t>
  </si>
  <si>
    <t xml:space="preserve"> РНИ ВПУ </t>
  </si>
  <si>
    <t xml:space="preserve">НТГ РНИ систем винтиляции </t>
  </si>
  <si>
    <t>Проведение ЭПБ</t>
  </si>
  <si>
    <t xml:space="preserve">Проведение ПВО и ЭПБ </t>
  </si>
  <si>
    <t>Периодические медосмотры</t>
  </si>
  <si>
    <t>Тех.перевооружение и ЭПБ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</si>
</sst>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FFFFCC"/>
      <color rgb="FFFFCCFF"/>
      <color rgb="FF9999FF"/>
      <color rgb="FF99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A84"/>
  <sheetViews>
    <sheetView tabSelected="1" zoomScale="60" zoomScaleNormal="6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 activeCell="Z85" sqref="Z85"/>
    </sheetView>
  </sheetViews>
  <sheetFormatPr defaultColWidth="9.140625" defaultRowHeight="15" x14ac:dyDescent="0.25"/>
  <cols>
    <col min="1" max="1" width="6.42578125" style="27" customWidth="1"/>
    <col min="2" max="2" width="15.28515625" style="24" customWidth="1"/>
    <col min="3" max="3" width="11.85546875" style="24" customWidth="1"/>
    <col min="4" max="4" width="13" style="24" customWidth="1"/>
    <col min="5" max="5" width="11.42578125" style="24" customWidth="1"/>
    <col min="6" max="6" width="10.7109375" style="24" customWidth="1"/>
    <col min="7" max="7" width="11.7109375" style="24" customWidth="1"/>
    <col min="8" max="8" width="12.140625" style="24" customWidth="1"/>
    <col min="9" max="9" width="14" style="24" customWidth="1"/>
    <col min="10" max="10" width="15.5703125" style="24" customWidth="1"/>
    <col min="11" max="11" width="15" style="24" customWidth="1"/>
    <col min="12" max="12" width="15.28515625" style="24" customWidth="1"/>
    <col min="13" max="13" width="16.42578125" style="24" customWidth="1"/>
    <col min="14" max="14" width="15.140625" style="24" customWidth="1"/>
    <col min="15" max="15" width="12.7109375" style="24" customWidth="1"/>
    <col min="16" max="16" width="57.42578125" style="24" customWidth="1"/>
    <col min="17" max="17" width="16.5703125" style="24" customWidth="1"/>
    <col min="18" max="18" width="12.140625" style="24" customWidth="1"/>
    <col min="19" max="19" width="12.28515625" style="24" customWidth="1"/>
    <col min="20" max="20" width="18.7109375" style="24" customWidth="1"/>
    <col min="21" max="21" width="45" style="24" customWidth="1"/>
    <col min="22" max="22" width="35" style="24" hidden="1" customWidth="1"/>
    <col min="23" max="23" width="26.28515625" style="24" hidden="1" customWidth="1"/>
    <col min="24" max="24" width="16.7109375" style="24" customWidth="1"/>
    <col min="25" max="16384" width="9.140625" style="24"/>
  </cols>
  <sheetData>
    <row r="1" spans="1:209" ht="15" customHeight="1" x14ac:dyDescent="0.25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9" ht="14.4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09" ht="25.1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9" ht="15.6" customHeight="1" x14ac:dyDescent="0.25">
      <c r="A4" s="1" t="s">
        <v>18</v>
      </c>
      <c r="B4" s="1" t="s">
        <v>19</v>
      </c>
      <c r="C4" s="1" t="s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30</v>
      </c>
    </row>
    <row r="5" spans="1:209" ht="15.6" customHeight="1" x14ac:dyDescent="0.25">
      <c r="A5" s="1"/>
      <c r="B5" s="1"/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8</v>
      </c>
      <c r="O5" s="1"/>
      <c r="P5" s="1"/>
      <c r="Q5" s="1"/>
      <c r="R5" s="1"/>
      <c r="S5" s="1"/>
      <c r="T5" s="1"/>
      <c r="U5" s="1"/>
      <c r="V5" s="1"/>
      <c r="W5" s="1"/>
    </row>
    <row r="6" spans="1:209" ht="17.45" customHeight="1" x14ac:dyDescent="0.25">
      <c r="A6" s="1"/>
      <c r="B6" s="1"/>
      <c r="C6" s="1" t="s">
        <v>2</v>
      </c>
      <c r="D6" s="1"/>
      <c r="E6" s="1"/>
      <c r="F6" s="1"/>
      <c r="G6" s="1"/>
      <c r="H6" s="1"/>
      <c r="I6" s="1"/>
      <c r="J6" s="1"/>
      <c r="K6" s="1"/>
      <c r="L6" s="1"/>
      <c r="M6" s="1" t="s">
        <v>7</v>
      </c>
      <c r="N6" s="1"/>
      <c r="O6" s="1"/>
      <c r="P6" s="1"/>
      <c r="Q6" s="1"/>
      <c r="R6" s="1"/>
      <c r="S6" s="1"/>
      <c r="T6" s="1"/>
      <c r="U6" s="1"/>
      <c r="V6" s="1"/>
      <c r="W6" s="1"/>
    </row>
    <row r="7" spans="1:209" ht="30" customHeight="1" x14ac:dyDescent="0.25">
      <c r="A7" s="1"/>
      <c r="B7" s="1"/>
      <c r="C7" s="1" t="s">
        <v>3</v>
      </c>
      <c r="D7" s="1"/>
      <c r="E7" s="1"/>
      <c r="F7" s="1" t="s">
        <v>4</v>
      </c>
      <c r="G7" s="1"/>
      <c r="H7" s="1"/>
      <c r="I7" s="1" t="s">
        <v>5</v>
      </c>
      <c r="J7" s="1"/>
      <c r="K7" s="1" t="s">
        <v>6</v>
      </c>
      <c r="L7" s="1"/>
      <c r="M7" s="1"/>
      <c r="N7" s="1" t="s">
        <v>9</v>
      </c>
      <c r="O7" s="1" t="s">
        <v>10</v>
      </c>
      <c r="P7" s="1"/>
      <c r="Q7" s="1"/>
      <c r="R7" s="1"/>
      <c r="S7" s="1"/>
      <c r="T7" s="1"/>
      <c r="U7" s="1"/>
      <c r="V7" s="1"/>
      <c r="W7" s="1"/>
    </row>
    <row r="8" spans="1:209" ht="86.45" customHeight="1" x14ac:dyDescent="0.25">
      <c r="A8" s="1"/>
      <c r="B8" s="1"/>
      <c r="C8" s="2" t="s">
        <v>20</v>
      </c>
      <c r="D8" s="2" t="s">
        <v>21</v>
      </c>
      <c r="E8" s="2" t="s">
        <v>22</v>
      </c>
      <c r="F8" s="2" t="s">
        <v>23</v>
      </c>
      <c r="G8" s="2" t="s">
        <v>24</v>
      </c>
      <c r="H8" s="2" t="s">
        <v>25</v>
      </c>
      <c r="I8" s="2" t="s">
        <v>26</v>
      </c>
      <c r="J8" s="2" t="s">
        <v>27</v>
      </c>
      <c r="K8" s="2" t="s">
        <v>28</v>
      </c>
      <c r="L8" s="2" t="s">
        <v>29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09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>
        <v>13</v>
      </c>
      <c r="N9" s="25">
        <v>14</v>
      </c>
      <c r="O9" s="25">
        <v>15</v>
      </c>
      <c r="P9" s="25">
        <v>16</v>
      </c>
      <c r="Q9" s="25">
        <v>17</v>
      </c>
      <c r="R9" s="25">
        <v>18</v>
      </c>
      <c r="S9" s="25">
        <v>19</v>
      </c>
      <c r="T9" s="25">
        <v>20</v>
      </c>
      <c r="U9" s="25">
        <v>21</v>
      </c>
      <c r="V9" s="25">
        <v>22</v>
      </c>
      <c r="W9" s="26">
        <v>23</v>
      </c>
    </row>
    <row r="10" spans="1:209" s="5" customFormat="1" ht="28.5" customHeight="1" x14ac:dyDescent="0.25">
      <c r="A10" s="28" t="s">
        <v>36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09" s="6" customFormat="1" ht="39.950000000000003" customHeight="1" x14ac:dyDescent="0.25">
      <c r="A11" s="6">
        <v>1</v>
      </c>
      <c r="B11" s="13">
        <v>45433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>
        <v>0</v>
      </c>
      <c r="P11" s="6" t="s">
        <v>191</v>
      </c>
      <c r="Q11" s="15">
        <f>39720/1000</f>
        <v>39.72</v>
      </c>
      <c r="R11" s="6" t="s">
        <v>34</v>
      </c>
      <c r="S11" s="6">
        <v>1</v>
      </c>
      <c r="T11" s="15">
        <f>Q11</f>
        <v>39.72</v>
      </c>
      <c r="U11" s="6" t="s">
        <v>40</v>
      </c>
      <c r="V11" s="6" t="s">
        <v>113</v>
      </c>
      <c r="W11" s="7" t="s">
        <v>52</v>
      </c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16"/>
    </row>
    <row r="12" spans="1:209" s="6" customFormat="1" ht="39.950000000000003" customHeight="1" x14ac:dyDescent="0.25">
      <c r="A12" s="6">
        <v>2</v>
      </c>
      <c r="B12" s="13">
        <v>45418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1</v>
      </c>
      <c r="O12" s="6">
        <v>0</v>
      </c>
      <c r="P12" s="6" t="s">
        <v>50</v>
      </c>
      <c r="Q12" s="15">
        <f>95370/1000</f>
        <v>95.37</v>
      </c>
      <c r="R12" s="6" t="s">
        <v>34</v>
      </c>
      <c r="S12" s="6">
        <v>1</v>
      </c>
      <c r="T12" s="15">
        <f t="shared" ref="T12:T47" si="0">Q12</f>
        <v>95.37</v>
      </c>
      <c r="U12" s="6" t="s">
        <v>55</v>
      </c>
      <c r="V12" s="6" t="s">
        <v>113</v>
      </c>
      <c r="W12" s="7" t="s">
        <v>53</v>
      </c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16"/>
    </row>
    <row r="13" spans="1:209" s="6" customFormat="1" ht="39.950000000000003" customHeight="1" x14ac:dyDescent="0.25">
      <c r="A13" s="6">
        <v>3</v>
      </c>
      <c r="B13" s="13">
        <v>45434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1</v>
      </c>
      <c r="O13" s="6">
        <v>0</v>
      </c>
      <c r="P13" s="6" t="s">
        <v>51</v>
      </c>
      <c r="Q13" s="15">
        <f>100000/1000</f>
        <v>100</v>
      </c>
      <c r="R13" s="6" t="s">
        <v>34</v>
      </c>
      <c r="S13" s="6">
        <v>1</v>
      </c>
      <c r="T13" s="15">
        <f t="shared" si="0"/>
        <v>100</v>
      </c>
      <c r="U13" s="6" t="s">
        <v>56</v>
      </c>
      <c r="V13" s="6" t="s">
        <v>113</v>
      </c>
      <c r="W13" s="7" t="s">
        <v>54</v>
      </c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16"/>
    </row>
    <row r="14" spans="1:209" s="6" customFormat="1" ht="39.950000000000003" customHeight="1" x14ac:dyDescent="0.25">
      <c r="A14" s="6">
        <v>4</v>
      </c>
      <c r="B14" s="13">
        <v>45436</v>
      </c>
      <c r="C14" s="6">
        <v>0</v>
      </c>
      <c r="D14" s="6">
        <v>0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 t="s">
        <v>193</v>
      </c>
      <c r="Q14" s="15">
        <f>2488529.79/1000</f>
        <v>2488.52979</v>
      </c>
      <c r="R14" s="6" t="s">
        <v>34</v>
      </c>
      <c r="S14" s="6">
        <v>1</v>
      </c>
      <c r="T14" s="15">
        <f t="shared" si="0"/>
        <v>2488.52979</v>
      </c>
      <c r="U14" s="6" t="s">
        <v>60</v>
      </c>
      <c r="W14" s="7" t="s">
        <v>57</v>
      </c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16"/>
    </row>
    <row r="15" spans="1:209" s="6" customFormat="1" ht="39.950000000000003" customHeight="1" x14ac:dyDescent="0.25">
      <c r="A15" s="6">
        <v>5</v>
      </c>
      <c r="B15" s="13">
        <v>45428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 t="s">
        <v>192</v>
      </c>
      <c r="Q15" s="15">
        <f>4304318.85/1000</f>
        <v>4304.3188499999997</v>
      </c>
      <c r="R15" s="6" t="s">
        <v>34</v>
      </c>
      <c r="S15" s="6">
        <v>1</v>
      </c>
      <c r="T15" s="15">
        <f t="shared" si="0"/>
        <v>4304.3188499999997</v>
      </c>
      <c r="U15" s="6" t="s">
        <v>61</v>
      </c>
      <c r="W15" s="7" t="s">
        <v>58</v>
      </c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16"/>
    </row>
    <row r="16" spans="1:209" s="6" customFormat="1" ht="39.950000000000003" customHeight="1" x14ac:dyDescent="0.25">
      <c r="A16" s="6">
        <v>6</v>
      </c>
      <c r="B16" s="13">
        <v>45425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 t="s">
        <v>194</v>
      </c>
      <c r="Q16" s="15">
        <f>1595921.2/1000</f>
        <v>1595.9212</v>
      </c>
      <c r="R16" s="6" t="s">
        <v>34</v>
      </c>
      <c r="S16" s="6">
        <v>1</v>
      </c>
      <c r="T16" s="15">
        <f t="shared" si="0"/>
        <v>1595.9212</v>
      </c>
      <c r="U16" s="6" t="s">
        <v>62</v>
      </c>
      <c r="W16" s="7" t="s">
        <v>59</v>
      </c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</row>
    <row r="17" spans="1:208" s="6" customFormat="1" ht="39.950000000000003" customHeight="1" x14ac:dyDescent="0.25">
      <c r="A17" s="6">
        <v>7</v>
      </c>
      <c r="B17" s="13">
        <v>45420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0</v>
      </c>
      <c r="O17" s="6">
        <v>0</v>
      </c>
      <c r="P17" s="6" t="s">
        <v>195</v>
      </c>
      <c r="Q17" s="15">
        <f>18466942.85/1000</f>
        <v>18466.942850000003</v>
      </c>
      <c r="R17" s="6" t="s">
        <v>34</v>
      </c>
      <c r="S17" s="6">
        <v>1</v>
      </c>
      <c r="T17" s="15">
        <f t="shared" si="0"/>
        <v>18466.942850000003</v>
      </c>
      <c r="U17" s="6" t="s">
        <v>85</v>
      </c>
      <c r="W17" s="7" t="s">
        <v>65</v>
      </c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</row>
    <row r="18" spans="1:208" s="6" customFormat="1" ht="39.950000000000003" customHeight="1" x14ac:dyDescent="0.25">
      <c r="A18" s="6">
        <v>8</v>
      </c>
      <c r="B18" s="13">
        <v>45419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6" t="s">
        <v>196</v>
      </c>
      <c r="Q18" s="15">
        <f>15398000/1000</f>
        <v>15398</v>
      </c>
      <c r="R18" s="6" t="s">
        <v>34</v>
      </c>
      <c r="S18" s="6">
        <v>1</v>
      </c>
      <c r="T18" s="15">
        <f t="shared" si="0"/>
        <v>15398</v>
      </c>
      <c r="U18" s="6" t="s">
        <v>85</v>
      </c>
      <c r="W18" s="7" t="s">
        <v>66</v>
      </c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</row>
    <row r="19" spans="1:208" s="6" customFormat="1" ht="39.950000000000003" customHeight="1" x14ac:dyDescent="0.25">
      <c r="A19" s="6">
        <v>9</v>
      </c>
      <c r="B19" s="13">
        <v>45425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 t="s">
        <v>197</v>
      </c>
      <c r="Q19" s="15">
        <f>1265000/1000</f>
        <v>1265</v>
      </c>
      <c r="R19" s="6" t="s">
        <v>34</v>
      </c>
      <c r="S19" s="6">
        <v>1</v>
      </c>
      <c r="T19" s="15">
        <f t="shared" si="0"/>
        <v>1265</v>
      </c>
      <c r="U19" s="6" t="s">
        <v>86</v>
      </c>
      <c r="W19" s="7" t="s">
        <v>67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</row>
    <row r="20" spans="1:208" s="6" customFormat="1" ht="39.950000000000003" customHeight="1" x14ac:dyDescent="0.25">
      <c r="A20" s="6">
        <v>10</v>
      </c>
      <c r="B20" s="13">
        <v>45419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 t="s">
        <v>198</v>
      </c>
      <c r="Q20" s="15">
        <f>596968.2/1000</f>
        <v>596.96819999999991</v>
      </c>
      <c r="R20" s="6" t="s">
        <v>34</v>
      </c>
      <c r="S20" s="6">
        <v>1</v>
      </c>
      <c r="T20" s="15">
        <f t="shared" si="0"/>
        <v>596.96819999999991</v>
      </c>
      <c r="U20" s="6" t="s">
        <v>38</v>
      </c>
      <c r="W20" s="7" t="s">
        <v>68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</row>
    <row r="21" spans="1:208" s="6" customFormat="1" ht="39.950000000000003" customHeight="1" x14ac:dyDescent="0.25">
      <c r="A21" s="6">
        <v>11</v>
      </c>
      <c r="B21" s="13">
        <v>45436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 t="s">
        <v>199</v>
      </c>
      <c r="Q21" s="15">
        <f>2333333/1000</f>
        <v>2333.3330000000001</v>
      </c>
      <c r="R21" s="6" t="s">
        <v>34</v>
      </c>
      <c r="S21" s="6">
        <v>1</v>
      </c>
      <c r="T21" s="15">
        <f t="shared" si="0"/>
        <v>2333.3330000000001</v>
      </c>
      <c r="U21" s="6" t="s">
        <v>87</v>
      </c>
      <c r="W21" s="7" t="s">
        <v>69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</row>
    <row r="22" spans="1:208" s="6" customFormat="1" ht="39.950000000000003" customHeight="1" x14ac:dyDescent="0.25">
      <c r="A22" s="6">
        <v>12</v>
      </c>
      <c r="B22" s="13">
        <v>45435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 t="s">
        <v>200</v>
      </c>
      <c r="Q22" s="15">
        <f>889500/1000</f>
        <v>889.5</v>
      </c>
      <c r="R22" s="6" t="s">
        <v>34</v>
      </c>
      <c r="S22" s="6">
        <v>1</v>
      </c>
      <c r="T22" s="15">
        <f t="shared" si="0"/>
        <v>889.5</v>
      </c>
      <c r="U22" s="6" t="s">
        <v>88</v>
      </c>
      <c r="W22" s="7" t="s">
        <v>70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</row>
    <row r="23" spans="1:208" s="6" customFormat="1" ht="39.950000000000003" customHeight="1" x14ac:dyDescent="0.25">
      <c r="A23" s="6">
        <v>13</v>
      </c>
      <c r="B23" s="13">
        <v>45425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 t="s">
        <v>201</v>
      </c>
      <c r="Q23" s="15">
        <f>2443203.54/1000</f>
        <v>2443.20354</v>
      </c>
      <c r="R23" s="6" t="s">
        <v>34</v>
      </c>
      <c r="S23" s="6">
        <v>1</v>
      </c>
      <c r="T23" s="15">
        <f t="shared" si="0"/>
        <v>2443.20354</v>
      </c>
      <c r="U23" s="6" t="s">
        <v>89</v>
      </c>
      <c r="W23" s="7" t="s">
        <v>71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</row>
    <row r="24" spans="1:208" s="6" customFormat="1" ht="39.950000000000003" customHeight="1" x14ac:dyDescent="0.25">
      <c r="A24" s="6">
        <v>14</v>
      </c>
      <c r="B24" s="13">
        <v>45433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1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 t="s">
        <v>202</v>
      </c>
      <c r="Q24" s="15">
        <f>2220000/1000</f>
        <v>2220</v>
      </c>
      <c r="R24" s="6" t="s">
        <v>34</v>
      </c>
      <c r="S24" s="6">
        <v>1</v>
      </c>
      <c r="T24" s="15">
        <f t="shared" si="0"/>
        <v>2220</v>
      </c>
      <c r="U24" s="6" t="s">
        <v>46</v>
      </c>
      <c r="W24" s="7" t="s">
        <v>72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</row>
    <row r="25" spans="1:208" s="6" customFormat="1" ht="39.950000000000003" customHeight="1" x14ac:dyDescent="0.25">
      <c r="A25" s="6">
        <v>15</v>
      </c>
      <c r="B25" s="13">
        <v>45433</v>
      </c>
      <c r="C25" s="6">
        <v>0</v>
      </c>
      <c r="D25" s="6">
        <v>0</v>
      </c>
      <c r="E25" s="6">
        <v>0</v>
      </c>
      <c r="F25" s="6">
        <v>0</v>
      </c>
      <c r="G25" s="6">
        <v>1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 t="s">
        <v>63</v>
      </c>
      <c r="Q25" s="15">
        <f>3689675.88/1000</f>
        <v>3689.6758799999998</v>
      </c>
      <c r="R25" s="6" t="s">
        <v>34</v>
      </c>
      <c r="S25" s="6">
        <v>1</v>
      </c>
      <c r="T25" s="15">
        <f t="shared" si="0"/>
        <v>3689.6758799999998</v>
      </c>
      <c r="U25" s="6" t="s">
        <v>90</v>
      </c>
      <c r="W25" s="7" t="s">
        <v>73</v>
      </c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</row>
    <row r="26" spans="1:208" s="6" customFormat="1" ht="39.950000000000003" customHeight="1" x14ac:dyDescent="0.25">
      <c r="A26" s="6">
        <v>16</v>
      </c>
      <c r="B26" s="13">
        <v>45436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 t="s">
        <v>203</v>
      </c>
      <c r="Q26" s="15">
        <f>2754378.96/1000</f>
        <v>2754.37896</v>
      </c>
      <c r="R26" s="6" t="s">
        <v>34</v>
      </c>
      <c r="S26" s="6">
        <v>1</v>
      </c>
      <c r="T26" s="15">
        <f t="shared" si="0"/>
        <v>2754.37896</v>
      </c>
      <c r="U26" s="6" t="s">
        <v>91</v>
      </c>
      <c r="W26" s="7" t="s">
        <v>74</v>
      </c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</row>
    <row r="27" spans="1:208" s="6" customFormat="1" ht="39.950000000000003" customHeight="1" x14ac:dyDescent="0.25">
      <c r="A27" s="6">
        <v>17</v>
      </c>
      <c r="B27" s="13">
        <v>45435</v>
      </c>
      <c r="C27" s="6">
        <v>0</v>
      </c>
      <c r="D27" s="6">
        <v>0</v>
      </c>
      <c r="E27" s="6">
        <v>0</v>
      </c>
      <c r="F27" s="6">
        <v>0</v>
      </c>
      <c r="G27" s="6">
        <v>1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 t="s">
        <v>204</v>
      </c>
      <c r="Q27" s="15">
        <f>570232.51/1000</f>
        <v>570.23251000000005</v>
      </c>
      <c r="R27" s="6" t="s">
        <v>34</v>
      </c>
      <c r="S27" s="6">
        <v>1</v>
      </c>
      <c r="T27" s="15">
        <f t="shared" si="0"/>
        <v>570.23251000000005</v>
      </c>
      <c r="U27" s="6" t="s">
        <v>92</v>
      </c>
      <c r="W27" s="7" t="s">
        <v>75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</row>
    <row r="28" spans="1:208" s="6" customFormat="1" ht="39.950000000000003" customHeight="1" x14ac:dyDescent="0.25">
      <c r="A28" s="6">
        <v>18</v>
      </c>
      <c r="B28" s="13">
        <v>45433</v>
      </c>
      <c r="C28" s="6">
        <v>0</v>
      </c>
      <c r="D28" s="6">
        <v>0</v>
      </c>
      <c r="E28" s="6">
        <v>0</v>
      </c>
      <c r="F28" s="6">
        <v>0</v>
      </c>
      <c r="G28" s="6">
        <v>1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 t="s">
        <v>205</v>
      </c>
      <c r="Q28" s="15">
        <f>286398.35/1000</f>
        <v>286.39834999999999</v>
      </c>
      <c r="R28" s="6" t="s">
        <v>34</v>
      </c>
      <c r="S28" s="6">
        <v>1</v>
      </c>
      <c r="T28" s="15">
        <f t="shared" si="0"/>
        <v>286.39834999999999</v>
      </c>
      <c r="U28" s="6" t="s">
        <v>93</v>
      </c>
      <c r="W28" s="7" t="s">
        <v>76</v>
      </c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</row>
    <row r="29" spans="1:208" s="6" customFormat="1" ht="39.950000000000003" customHeight="1" x14ac:dyDescent="0.25">
      <c r="A29" s="6">
        <v>19</v>
      </c>
      <c r="B29" s="13">
        <v>45419</v>
      </c>
      <c r="C29" s="6">
        <v>0</v>
      </c>
      <c r="D29" s="6">
        <v>0</v>
      </c>
      <c r="E29" s="6">
        <v>0</v>
      </c>
      <c r="F29" s="6">
        <v>0</v>
      </c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 t="s">
        <v>206</v>
      </c>
      <c r="Q29" s="15">
        <f>163526.19/1000</f>
        <v>163.52619000000001</v>
      </c>
      <c r="R29" s="6" t="s">
        <v>34</v>
      </c>
      <c r="S29" s="6">
        <v>1</v>
      </c>
      <c r="T29" s="15">
        <f t="shared" si="0"/>
        <v>163.52619000000001</v>
      </c>
      <c r="U29" s="6" t="s">
        <v>94</v>
      </c>
      <c r="W29" s="7" t="s">
        <v>77</v>
      </c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</row>
    <row r="30" spans="1:208" s="6" customFormat="1" ht="39.950000000000003" customHeight="1" x14ac:dyDescent="0.25">
      <c r="A30" s="6">
        <v>20</v>
      </c>
      <c r="B30" s="13">
        <v>45414</v>
      </c>
      <c r="C30" s="6">
        <v>0</v>
      </c>
      <c r="D30" s="6">
        <v>0</v>
      </c>
      <c r="E30" s="6">
        <v>0</v>
      </c>
      <c r="F30" s="6">
        <v>0</v>
      </c>
      <c r="G30" s="6">
        <v>1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 t="s">
        <v>207</v>
      </c>
      <c r="Q30" s="15">
        <f>500150.68/1000</f>
        <v>500.15067999999997</v>
      </c>
      <c r="R30" s="6" t="s">
        <v>34</v>
      </c>
      <c r="S30" s="6">
        <v>1</v>
      </c>
      <c r="T30" s="15">
        <f t="shared" si="0"/>
        <v>500.15067999999997</v>
      </c>
      <c r="U30" s="6" t="s">
        <v>95</v>
      </c>
      <c r="W30" s="7" t="s">
        <v>78</v>
      </c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</row>
    <row r="31" spans="1:208" s="6" customFormat="1" ht="39.950000000000003" customHeight="1" x14ac:dyDescent="0.25">
      <c r="A31" s="6">
        <v>21</v>
      </c>
      <c r="B31" s="13">
        <v>45429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1</v>
      </c>
      <c r="O31" s="6">
        <v>0</v>
      </c>
      <c r="P31" s="6" t="s">
        <v>208</v>
      </c>
      <c r="Q31" s="15">
        <f>367327.48/1000</f>
        <v>367.32747999999998</v>
      </c>
      <c r="R31" s="6" t="s">
        <v>34</v>
      </c>
      <c r="S31" s="6">
        <v>1</v>
      </c>
      <c r="T31" s="15">
        <f t="shared" si="0"/>
        <v>367.32747999999998</v>
      </c>
      <c r="U31" s="6" t="s">
        <v>95</v>
      </c>
      <c r="W31" s="7" t="s">
        <v>79</v>
      </c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</row>
    <row r="32" spans="1:208" s="6" customFormat="1" ht="39.950000000000003" customHeight="1" x14ac:dyDescent="0.25">
      <c r="A32" s="6">
        <v>22</v>
      </c>
      <c r="B32" s="13">
        <v>45415</v>
      </c>
      <c r="C32" s="6">
        <v>0</v>
      </c>
      <c r="D32" s="6">
        <v>0</v>
      </c>
      <c r="E32" s="6">
        <v>0</v>
      </c>
      <c r="F32" s="6">
        <v>0</v>
      </c>
      <c r="G32" s="6">
        <v>1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 t="s">
        <v>209</v>
      </c>
      <c r="Q32" s="15">
        <f>468185.84/1000</f>
        <v>468.18584000000004</v>
      </c>
      <c r="R32" s="6" t="s">
        <v>34</v>
      </c>
      <c r="S32" s="6">
        <v>1</v>
      </c>
      <c r="T32" s="15">
        <f t="shared" si="0"/>
        <v>468.18584000000004</v>
      </c>
      <c r="U32" s="6" t="s">
        <v>96</v>
      </c>
      <c r="W32" s="7" t="s">
        <v>80</v>
      </c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</row>
    <row r="33" spans="1:208" s="6" customFormat="1" ht="39.950000000000003" customHeight="1" x14ac:dyDescent="0.25">
      <c r="A33" s="6">
        <v>23</v>
      </c>
      <c r="B33" s="13">
        <v>45426</v>
      </c>
      <c r="C33" s="6">
        <v>0</v>
      </c>
      <c r="D33" s="6">
        <v>0</v>
      </c>
      <c r="E33" s="6">
        <v>0</v>
      </c>
      <c r="F33" s="6">
        <v>0</v>
      </c>
      <c r="G33" s="6">
        <v>1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 t="s">
        <v>210</v>
      </c>
      <c r="Q33" s="15">
        <f>416627.8/1000</f>
        <v>416.62779999999998</v>
      </c>
      <c r="R33" s="6" t="s">
        <v>34</v>
      </c>
      <c r="S33" s="6">
        <v>1</v>
      </c>
      <c r="T33" s="15">
        <f t="shared" si="0"/>
        <v>416.62779999999998</v>
      </c>
      <c r="U33" s="6" t="s">
        <v>97</v>
      </c>
      <c r="W33" s="7" t="s">
        <v>81</v>
      </c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</row>
    <row r="34" spans="1:208" s="6" customFormat="1" ht="39.950000000000003" customHeight="1" x14ac:dyDescent="0.25">
      <c r="A34" s="6">
        <v>24</v>
      </c>
      <c r="B34" s="13">
        <v>45415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1</v>
      </c>
      <c r="O34" s="6">
        <v>0</v>
      </c>
      <c r="P34" s="6" t="s">
        <v>39</v>
      </c>
      <c r="Q34" s="15">
        <f>1699082.74/1000</f>
        <v>1699.0827400000001</v>
      </c>
      <c r="R34" s="6" t="s">
        <v>34</v>
      </c>
      <c r="S34" s="6">
        <v>1</v>
      </c>
      <c r="T34" s="15">
        <f t="shared" si="0"/>
        <v>1699.0827400000001</v>
      </c>
      <c r="U34" s="6" t="s">
        <v>37</v>
      </c>
      <c r="W34" s="7" t="s">
        <v>82</v>
      </c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</row>
    <row r="35" spans="1:208" s="6" customFormat="1" ht="39.950000000000003" customHeight="1" x14ac:dyDescent="0.25">
      <c r="A35" s="6">
        <v>25</v>
      </c>
      <c r="B35" s="13">
        <v>45425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1</v>
      </c>
      <c r="O35" s="6">
        <v>0</v>
      </c>
      <c r="P35" s="6" t="s">
        <v>39</v>
      </c>
      <c r="Q35" s="15">
        <f>8485.37/1000</f>
        <v>8.4853700000000014</v>
      </c>
      <c r="R35" s="6" t="s">
        <v>34</v>
      </c>
      <c r="S35" s="6">
        <v>1</v>
      </c>
      <c r="T35" s="15">
        <f t="shared" si="0"/>
        <v>8.4853700000000014</v>
      </c>
      <c r="U35" s="6" t="s">
        <v>37</v>
      </c>
      <c r="V35" s="6" t="s">
        <v>114</v>
      </c>
      <c r="W35" s="7" t="s">
        <v>83</v>
      </c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</row>
    <row r="36" spans="1:208" s="6" customFormat="1" ht="39.950000000000003" customHeight="1" x14ac:dyDescent="0.25">
      <c r="A36" s="6">
        <v>26</v>
      </c>
      <c r="B36" s="13">
        <v>45433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1</v>
      </c>
      <c r="O36" s="6">
        <v>0</v>
      </c>
      <c r="P36" s="6" t="s">
        <v>64</v>
      </c>
      <c r="Q36" s="15">
        <f>8249603.94/1000</f>
        <v>8249.6039400000009</v>
      </c>
      <c r="R36" s="6" t="s">
        <v>34</v>
      </c>
      <c r="S36" s="6">
        <v>1</v>
      </c>
      <c r="T36" s="15">
        <f t="shared" si="0"/>
        <v>8249.6039400000009</v>
      </c>
      <c r="U36" s="6" t="s">
        <v>98</v>
      </c>
      <c r="V36" s="6" t="s">
        <v>115</v>
      </c>
      <c r="W36" s="7" t="s">
        <v>84</v>
      </c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</row>
    <row r="37" spans="1:208" s="6" customFormat="1" ht="39.950000000000003" customHeight="1" x14ac:dyDescent="0.25">
      <c r="A37" s="6">
        <v>27</v>
      </c>
      <c r="B37" s="13">
        <v>45420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</v>
      </c>
      <c r="O37" s="6">
        <v>0</v>
      </c>
      <c r="P37" s="6" t="s">
        <v>211</v>
      </c>
      <c r="Q37" s="15">
        <f>94000/1000</f>
        <v>94</v>
      </c>
      <c r="R37" s="6" t="s">
        <v>34</v>
      </c>
      <c r="S37" s="6">
        <v>1</v>
      </c>
      <c r="T37" s="15">
        <f t="shared" si="0"/>
        <v>94</v>
      </c>
      <c r="U37" s="6" t="s">
        <v>43</v>
      </c>
      <c r="V37" s="6" t="s">
        <v>113</v>
      </c>
      <c r="W37" s="6" t="s">
        <v>104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</row>
    <row r="38" spans="1:208" s="6" customFormat="1" ht="39.950000000000003" customHeight="1" x14ac:dyDescent="0.25">
      <c r="A38" s="6">
        <v>28</v>
      </c>
      <c r="B38" s="13">
        <v>45425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1</v>
      </c>
      <c r="O38" s="6">
        <v>0</v>
      </c>
      <c r="P38" s="6" t="s">
        <v>217</v>
      </c>
      <c r="Q38" s="15">
        <f>42820/1000</f>
        <v>42.82</v>
      </c>
      <c r="R38" s="6" t="s">
        <v>34</v>
      </c>
      <c r="S38" s="6">
        <v>1</v>
      </c>
      <c r="T38" s="15">
        <f t="shared" si="0"/>
        <v>42.82</v>
      </c>
      <c r="U38" s="6" t="s">
        <v>42</v>
      </c>
      <c r="V38" s="6" t="s">
        <v>113</v>
      </c>
      <c r="W38" s="6" t="s">
        <v>105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</row>
    <row r="39" spans="1:208" s="6" customFormat="1" ht="39.950000000000003" customHeight="1" x14ac:dyDescent="0.25">
      <c r="A39" s="6">
        <v>29</v>
      </c>
      <c r="B39" s="13">
        <v>45425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1</v>
      </c>
      <c r="O39" s="6">
        <v>0</v>
      </c>
      <c r="P39" s="6" t="s">
        <v>212</v>
      </c>
      <c r="Q39" s="15">
        <f>97560/1000</f>
        <v>97.56</v>
      </c>
      <c r="R39" s="6" t="s">
        <v>34</v>
      </c>
      <c r="S39" s="6">
        <v>1</v>
      </c>
      <c r="T39" s="15">
        <f t="shared" si="0"/>
        <v>97.56</v>
      </c>
      <c r="U39" s="6" t="s">
        <v>101</v>
      </c>
      <c r="V39" s="6" t="s">
        <v>113</v>
      </c>
      <c r="W39" s="6" t="s">
        <v>107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</row>
    <row r="40" spans="1:208" s="6" customFormat="1" ht="39.950000000000003" customHeight="1" x14ac:dyDescent="0.25">
      <c r="A40" s="6">
        <v>30</v>
      </c>
      <c r="B40" s="13">
        <v>45425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1</v>
      </c>
      <c r="O40" s="6">
        <v>0</v>
      </c>
      <c r="P40" s="6" t="s">
        <v>217</v>
      </c>
      <c r="Q40" s="15">
        <f>99984.16/1000</f>
        <v>99.984160000000003</v>
      </c>
      <c r="R40" s="6" t="s">
        <v>34</v>
      </c>
      <c r="S40" s="6">
        <v>1</v>
      </c>
      <c r="T40" s="15">
        <f t="shared" si="0"/>
        <v>99.984160000000003</v>
      </c>
      <c r="U40" s="6" t="s">
        <v>41</v>
      </c>
      <c r="V40" s="6" t="s">
        <v>113</v>
      </c>
      <c r="W40" s="6" t="s">
        <v>108</v>
      </c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</row>
    <row r="41" spans="1:208" s="6" customFormat="1" ht="39.950000000000003" customHeight="1" x14ac:dyDescent="0.25">
      <c r="A41" s="6">
        <v>31</v>
      </c>
      <c r="B41" s="13">
        <v>45415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</v>
      </c>
      <c r="O41" s="6">
        <v>0</v>
      </c>
      <c r="P41" s="6" t="s">
        <v>213</v>
      </c>
      <c r="Q41" s="15">
        <f>41133.34/1000</f>
        <v>41.133339999999997</v>
      </c>
      <c r="R41" s="6" t="s">
        <v>34</v>
      </c>
      <c r="S41" s="6">
        <v>1</v>
      </c>
      <c r="T41" s="15">
        <f t="shared" si="0"/>
        <v>41.133339999999997</v>
      </c>
      <c r="U41" s="6" t="s">
        <v>41</v>
      </c>
      <c r="V41" s="6" t="s">
        <v>113</v>
      </c>
      <c r="W41" s="6" t="s">
        <v>109</v>
      </c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</row>
    <row r="42" spans="1:208" s="6" customFormat="1" ht="39.950000000000003" customHeight="1" x14ac:dyDescent="0.25">
      <c r="A42" s="6">
        <v>32</v>
      </c>
      <c r="B42" s="13">
        <v>45432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1</v>
      </c>
      <c r="O42" s="6">
        <v>0</v>
      </c>
      <c r="P42" s="6" t="s">
        <v>214</v>
      </c>
      <c r="Q42" s="15">
        <f>99835/1000</f>
        <v>99.834999999999994</v>
      </c>
      <c r="R42" s="6" t="s">
        <v>34</v>
      </c>
      <c r="S42" s="6">
        <v>1</v>
      </c>
      <c r="T42" s="15">
        <f t="shared" si="0"/>
        <v>99.834999999999994</v>
      </c>
      <c r="U42" s="6" t="s">
        <v>102</v>
      </c>
      <c r="V42" s="6" t="s">
        <v>113</v>
      </c>
      <c r="W42" s="6" t="s">
        <v>110</v>
      </c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</row>
    <row r="43" spans="1:208" s="6" customFormat="1" ht="39.950000000000003" customHeight="1" x14ac:dyDescent="0.25">
      <c r="A43" s="6">
        <v>33</v>
      </c>
      <c r="B43" s="13">
        <v>45425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1</v>
      </c>
      <c r="O43" s="6">
        <v>0</v>
      </c>
      <c r="P43" s="6" t="s">
        <v>215</v>
      </c>
      <c r="Q43" s="15">
        <f>96060/1000</f>
        <v>96.06</v>
      </c>
      <c r="R43" s="6" t="s">
        <v>34</v>
      </c>
      <c r="S43" s="6">
        <v>1</v>
      </c>
      <c r="T43" s="15">
        <f t="shared" si="0"/>
        <v>96.06</v>
      </c>
      <c r="U43" s="6" t="s">
        <v>103</v>
      </c>
      <c r="V43" s="6" t="s">
        <v>113</v>
      </c>
      <c r="W43" s="6" t="s">
        <v>111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</row>
    <row r="44" spans="1:208" s="6" customFormat="1" ht="39.950000000000003" customHeight="1" x14ac:dyDescent="0.25">
      <c r="A44" s="6">
        <v>34</v>
      </c>
      <c r="B44" s="13">
        <v>45429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1</v>
      </c>
      <c r="O44" s="6">
        <v>0</v>
      </c>
      <c r="P44" s="6" t="s">
        <v>224</v>
      </c>
      <c r="Q44" s="15">
        <f>37496.3/1000</f>
        <v>37.496300000000005</v>
      </c>
      <c r="R44" s="6" t="s">
        <v>33</v>
      </c>
      <c r="S44" s="6">
        <v>1</v>
      </c>
      <c r="T44" s="15">
        <f>Q44</f>
        <v>37.496300000000005</v>
      </c>
      <c r="U44" s="6" t="s">
        <v>48</v>
      </c>
      <c r="W44" s="6" t="s">
        <v>127</v>
      </c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</row>
    <row r="45" spans="1:208" s="6" customFormat="1" ht="39.950000000000003" customHeight="1" x14ac:dyDescent="0.25">
      <c r="A45" s="6">
        <v>35</v>
      </c>
      <c r="B45" s="13">
        <v>45433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1</v>
      </c>
      <c r="O45" s="6">
        <v>0</v>
      </c>
      <c r="P45" s="6" t="s">
        <v>225</v>
      </c>
      <c r="Q45" s="15">
        <f>6076/1000</f>
        <v>6.0759999999999996</v>
      </c>
      <c r="R45" s="6" t="s">
        <v>33</v>
      </c>
      <c r="S45" s="6">
        <v>1</v>
      </c>
      <c r="T45" s="15">
        <f>Q45</f>
        <v>6.0759999999999996</v>
      </c>
      <c r="U45" s="6" t="s">
        <v>37</v>
      </c>
      <c r="W45" s="6" t="s">
        <v>128</v>
      </c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</row>
    <row r="46" spans="1:208" s="6" customFormat="1" ht="39.950000000000003" customHeight="1" x14ac:dyDescent="0.25">
      <c r="A46" s="6">
        <v>36</v>
      </c>
      <c r="B46" s="13">
        <v>45415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1</v>
      </c>
      <c r="O46" s="6">
        <v>0</v>
      </c>
      <c r="P46" s="6" t="s">
        <v>223</v>
      </c>
      <c r="Q46" s="15">
        <f>99999.98/1000</f>
        <v>99.999979999999994</v>
      </c>
      <c r="R46" s="6" t="s">
        <v>33</v>
      </c>
      <c r="S46" s="6">
        <v>1</v>
      </c>
      <c r="T46" s="15">
        <f>Q46</f>
        <v>99.999979999999994</v>
      </c>
      <c r="U46" s="6" t="s">
        <v>132</v>
      </c>
      <c r="W46" s="6" t="s">
        <v>122</v>
      </c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</row>
    <row r="47" spans="1:208" s="6" customFormat="1" ht="39.950000000000003" customHeight="1" x14ac:dyDescent="0.25">
      <c r="A47" s="6">
        <v>37</v>
      </c>
      <c r="B47" s="13">
        <v>45426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1</v>
      </c>
      <c r="P47" s="6" t="s">
        <v>216</v>
      </c>
      <c r="Q47" s="15">
        <f>30704.67/1000</f>
        <v>30.704669999999997</v>
      </c>
      <c r="R47" s="6" t="s">
        <v>34</v>
      </c>
      <c r="S47" s="6">
        <v>1</v>
      </c>
      <c r="T47" s="15">
        <f t="shared" si="0"/>
        <v>30.704669999999997</v>
      </c>
      <c r="U47" s="6" t="s">
        <v>37</v>
      </c>
      <c r="V47" s="6" t="s">
        <v>113</v>
      </c>
      <c r="W47" s="6" t="s">
        <v>112</v>
      </c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</row>
    <row r="48" spans="1:208" s="9" customFormat="1" ht="19.899999999999999" customHeight="1" x14ac:dyDescent="0.25">
      <c r="A48" s="19" t="s">
        <v>31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</row>
    <row r="49" spans="1:208" s="6" customFormat="1" ht="39.950000000000003" customHeight="1" x14ac:dyDescent="0.25">
      <c r="A49" s="6">
        <v>1</v>
      </c>
      <c r="B49" s="13">
        <v>45427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</v>
      </c>
      <c r="O49" s="6">
        <v>0</v>
      </c>
      <c r="P49" s="6" t="s">
        <v>116</v>
      </c>
      <c r="Q49" s="15">
        <f>71310/1000</f>
        <v>71.31</v>
      </c>
      <c r="R49" s="6" t="s">
        <v>33</v>
      </c>
      <c r="S49" s="6">
        <v>1</v>
      </c>
      <c r="T49" s="15">
        <f>Q49</f>
        <v>71.31</v>
      </c>
      <c r="U49" s="6" t="s">
        <v>130</v>
      </c>
      <c r="W49" s="6" t="s">
        <v>119</v>
      </c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</row>
    <row r="50" spans="1:208" s="6" customFormat="1" ht="39.950000000000003" customHeight="1" x14ac:dyDescent="0.25">
      <c r="A50" s="6">
        <v>2</v>
      </c>
      <c r="B50" s="13">
        <v>45427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1</v>
      </c>
      <c r="O50" s="6">
        <v>0</v>
      </c>
      <c r="P50" s="6" t="s">
        <v>116</v>
      </c>
      <c r="Q50" s="15">
        <f>84060/1000</f>
        <v>84.06</v>
      </c>
      <c r="R50" s="6" t="s">
        <v>33</v>
      </c>
      <c r="S50" s="6">
        <v>1</v>
      </c>
      <c r="T50" s="15">
        <f t="shared" ref="T50:T69" si="1">Q50</f>
        <v>84.06</v>
      </c>
      <c r="U50" s="6" t="s">
        <v>130</v>
      </c>
      <c r="W50" s="6" t="s">
        <v>120</v>
      </c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</row>
    <row r="51" spans="1:208" s="6" customFormat="1" ht="39.950000000000003" customHeight="1" x14ac:dyDescent="0.25">
      <c r="A51" s="6">
        <v>3</v>
      </c>
      <c r="B51" s="13">
        <v>45441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1</v>
      </c>
      <c r="O51" s="6">
        <v>0</v>
      </c>
      <c r="P51" s="6" t="s">
        <v>117</v>
      </c>
      <c r="Q51" s="15">
        <f>99920/1000</f>
        <v>99.92</v>
      </c>
      <c r="R51" s="6" t="s">
        <v>33</v>
      </c>
      <c r="S51" s="6">
        <v>1</v>
      </c>
      <c r="T51" s="15">
        <f t="shared" si="1"/>
        <v>99.92</v>
      </c>
      <c r="U51" s="6" t="s">
        <v>131</v>
      </c>
      <c r="W51" s="6" t="s">
        <v>121</v>
      </c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</row>
    <row r="52" spans="1:208" s="6" customFormat="1" ht="39.950000000000003" customHeight="1" x14ac:dyDescent="0.25">
      <c r="A52" s="6">
        <v>4</v>
      </c>
      <c r="B52" s="13">
        <v>45443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1</v>
      </c>
      <c r="O52" s="6">
        <v>0</v>
      </c>
      <c r="P52" s="6" t="s">
        <v>116</v>
      </c>
      <c r="Q52" s="15">
        <f>60000/1000</f>
        <v>60</v>
      </c>
      <c r="R52" s="6" t="s">
        <v>33</v>
      </c>
      <c r="S52" s="6">
        <v>1</v>
      </c>
      <c r="T52" s="15">
        <f t="shared" si="1"/>
        <v>60</v>
      </c>
      <c r="U52" s="6" t="s">
        <v>133</v>
      </c>
      <c r="W52" s="6" t="s">
        <v>123</v>
      </c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</row>
    <row r="53" spans="1:208" s="6" customFormat="1" ht="39.950000000000003" customHeight="1" x14ac:dyDescent="0.25">
      <c r="A53" s="6">
        <v>5</v>
      </c>
      <c r="B53" s="13">
        <v>45414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1</v>
      </c>
      <c r="O53" s="6">
        <v>0</v>
      </c>
      <c r="P53" s="6" t="s">
        <v>116</v>
      </c>
      <c r="Q53" s="15">
        <f>76400/1000</f>
        <v>76.400000000000006</v>
      </c>
      <c r="R53" s="6" t="s">
        <v>33</v>
      </c>
      <c r="S53" s="6">
        <v>1</v>
      </c>
      <c r="T53" s="15">
        <f t="shared" si="1"/>
        <v>76.400000000000006</v>
      </c>
      <c r="U53" s="6" t="s">
        <v>134</v>
      </c>
      <c r="W53" s="6" t="s">
        <v>124</v>
      </c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</row>
    <row r="54" spans="1:208" s="6" customFormat="1" ht="39.950000000000003" customHeight="1" x14ac:dyDescent="0.25">
      <c r="A54" s="6">
        <v>6</v>
      </c>
      <c r="B54" s="13">
        <v>45443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1</v>
      </c>
      <c r="O54" s="6">
        <v>0</v>
      </c>
      <c r="P54" s="6" t="s">
        <v>116</v>
      </c>
      <c r="Q54" s="15">
        <f>84000/1000</f>
        <v>84</v>
      </c>
      <c r="R54" s="6" t="s">
        <v>33</v>
      </c>
      <c r="S54" s="6">
        <v>1</v>
      </c>
      <c r="T54" s="15">
        <f t="shared" si="1"/>
        <v>84</v>
      </c>
      <c r="U54" s="6" t="s">
        <v>135</v>
      </c>
      <c r="W54" s="6" t="s">
        <v>125</v>
      </c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</row>
    <row r="55" spans="1:208" s="6" customFormat="1" ht="39.950000000000003" customHeight="1" x14ac:dyDescent="0.25">
      <c r="A55" s="6">
        <v>7</v>
      </c>
      <c r="B55" s="13">
        <v>45427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1</v>
      </c>
      <c r="O55" s="6">
        <v>0</v>
      </c>
      <c r="P55" s="6" t="s">
        <v>118</v>
      </c>
      <c r="Q55" s="15">
        <f>2500/1000</f>
        <v>2.5</v>
      </c>
      <c r="R55" s="6" t="s">
        <v>33</v>
      </c>
      <c r="S55" s="6">
        <v>1</v>
      </c>
      <c r="T55" s="15">
        <f t="shared" si="1"/>
        <v>2.5</v>
      </c>
      <c r="U55" s="6" t="s">
        <v>45</v>
      </c>
      <c r="W55" s="6" t="s">
        <v>126</v>
      </c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</row>
    <row r="56" spans="1:208" s="6" customFormat="1" ht="39.950000000000003" customHeight="1" x14ac:dyDescent="0.25">
      <c r="A56" s="6">
        <v>8</v>
      </c>
      <c r="B56" s="13">
        <v>45415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1</v>
      </c>
      <c r="O56" s="6">
        <v>0</v>
      </c>
      <c r="P56" s="6" t="s">
        <v>116</v>
      </c>
      <c r="Q56" s="15">
        <f>39000/1000</f>
        <v>39</v>
      </c>
      <c r="R56" s="6" t="s">
        <v>33</v>
      </c>
      <c r="S56" s="6">
        <v>1</v>
      </c>
      <c r="T56" s="15">
        <f t="shared" si="1"/>
        <v>39</v>
      </c>
      <c r="U56" s="6" t="s">
        <v>136</v>
      </c>
      <c r="W56" s="6" t="s">
        <v>129</v>
      </c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</row>
    <row r="57" spans="1:208" s="6" customFormat="1" ht="39.950000000000003" customHeight="1" x14ac:dyDescent="0.25">
      <c r="A57" s="6">
        <v>9</v>
      </c>
      <c r="B57" s="13">
        <v>45425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1</v>
      </c>
      <c r="O57" s="6">
        <v>0</v>
      </c>
      <c r="P57" s="6" t="s">
        <v>148</v>
      </c>
      <c r="Q57" s="15">
        <f>56000/1000</f>
        <v>56</v>
      </c>
      <c r="R57" s="6" t="s">
        <v>33</v>
      </c>
      <c r="S57" s="6">
        <v>1</v>
      </c>
      <c r="T57" s="15">
        <f t="shared" si="1"/>
        <v>56</v>
      </c>
      <c r="U57" s="6" t="s">
        <v>154</v>
      </c>
      <c r="W57" s="6" t="s">
        <v>162</v>
      </c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</row>
    <row r="58" spans="1:208" s="6" customFormat="1" ht="39.950000000000003" customHeight="1" x14ac:dyDescent="0.25">
      <c r="A58" s="6">
        <v>10</v>
      </c>
      <c r="B58" s="13">
        <v>45434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1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 t="s">
        <v>226</v>
      </c>
      <c r="Q58" s="15">
        <f>831320/1000</f>
        <v>831.32</v>
      </c>
      <c r="R58" s="6" t="s">
        <v>33</v>
      </c>
      <c r="S58" s="6">
        <v>1</v>
      </c>
      <c r="T58" s="15">
        <f t="shared" si="1"/>
        <v>831.32</v>
      </c>
      <c r="U58" s="6" t="s">
        <v>155</v>
      </c>
      <c r="W58" s="6" t="s">
        <v>163</v>
      </c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</row>
    <row r="59" spans="1:208" s="6" customFormat="1" ht="39.950000000000003" customHeight="1" x14ac:dyDescent="0.25">
      <c r="A59" s="6">
        <v>11</v>
      </c>
      <c r="B59" s="13">
        <v>45425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1</v>
      </c>
      <c r="O59" s="6">
        <v>0</v>
      </c>
      <c r="P59" s="6" t="s">
        <v>149</v>
      </c>
      <c r="Q59" s="15">
        <f>518400/1000</f>
        <v>518.4</v>
      </c>
      <c r="R59" s="6" t="s">
        <v>33</v>
      </c>
      <c r="S59" s="6">
        <v>1</v>
      </c>
      <c r="T59" s="15">
        <f t="shared" si="1"/>
        <v>518.4</v>
      </c>
      <c r="U59" s="6" t="s">
        <v>156</v>
      </c>
      <c r="W59" s="6" t="s">
        <v>164</v>
      </c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</row>
    <row r="60" spans="1:208" s="6" customFormat="1" ht="39.950000000000003" customHeight="1" x14ac:dyDescent="0.25">
      <c r="A60" s="6">
        <v>12</v>
      </c>
      <c r="B60" s="13">
        <v>45414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1</v>
      </c>
      <c r="O60" s="6">
        <v>0</v>
      </c>
      <c r="P60" s="6" t="s">
        <v>150</v>
      </c>
      <c r="Q60" s="15">
        <f>3791664/1000</f>
        <v>3791.6640000000002</v>
      </c>
      <c r="R60" s="6" t="s">
        <v>33</v>
      </c>
      <c r="S60" s="6">
        <v>1</v>
      </c>
      <c r="T60" s="15">
        <f t="shared" si="1"/>
        <v>3791.6640000000002</v>
      </c>
      <c r="U60" s="6" t="s">
        <v>35</v>
      </c>
      <c r="W60" s="6" t="s">
        <v>165</v>
      </c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</row>
    <row r="61" spans="1:208" s="6" customFormat="1" ht="39.950000000000003" customHeight="1" x14ac:dyDescent="0.25">
      <c r="A61" s="6">
        <v>13</v>
      </c>
      <c r="B61" s="13">
        <v>45414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1</v>
      </c>
      <c r="O61" s="6">
        <v>0</v>
      </c>
      <c r="P61" s="6" t="s">
        <v>151</v>
      </c>
      <c r="Q61" s="15">
        <f>1372880/1000</f>
        <v>1372.88</v>
      </c>
      <c r="R61" s="6" t="s">
        <v>33</v>
      </c>
      <c r="S61" s="6">
        <v>1</v>
      </c>
      <c r="T61" s="15">
        <f t="shared" si="1"/>
        <v>1372.88</v>
      </c>
      <c r="U61" s="6" t="s">
        <v>35</v>
      </c>
      <c r="W61" s="6" t="s">
        <v>166</v>
      </c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</row>
    <row r="62" spans="1:208" s="6" customFormat="1" ht="39.950000000000003" customHeight="1" x14ac:dyDescent="0.25">
      <c r="A62" s="6">
        <v>14</v>
      </c>
      <c r="B62" s="13">
        <v>45432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1</v>
      </c>
      <c r="O62" s="6">
        <v>0</v>
      </c>
      <c r="P62" s="6" t="s">
        <v>227</v>
      </c>
      <c r="Q62" s="15">
        <f>5122624/1000</f>
        <v>5122.6239999999998</v>
      </c>
      <c r="R62" s="6" t="s">
        <v>33</v>
      </c>
      <c r="S62" s="6">
        <v>1</v>
      </c>
      <c r="T62" s="15">
        <f t="shared" si="1"/>
        <v>5122.6239999999998</v>
      </c>
      <c r="U62" s="6" t="s">
        <v>35</v>
      </c>
      <c r="W62" s="6" t="s">
        <v>167</v>
      </c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</row>
    <row r="63" spans="1:208" s="6" customFormat="1" ht="39.950000000000003" customHeight="1" x14ac:dyDescent="0.25">
      <c r="A63" s="6">
        <v>15</v>
      </c>
      <c r="B63" s="13">
        <v>45428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1</v>
      </c>
      <c r="O63" s="6">
        <v>0</v>
      </c>
      <c r="P63" s="6" t="s">
        <v>228</v>
      </c>
      <c r="Q63" s="15">
        <f>9185510.4/1000</f>
        <v>9185.510400000001</v>
      </c>
      <c r="R63" s="6" t="s">
        <v>33</v>
      </c>
      <c r="S63" s="6">
        <v>1</v>
      </c>
      <c r="T63" s="15">
        <f t="shared" si="1"/>
        <v>9185.510400000001</v>
      </c>
      <c r="U63" s="6" t="s">
        <v>35</v>
      </c>
      <c r="W63" s="6" t="s">
        <v>168</v>
      </c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</row>
    <row r="64" spans="1:208" s="6" customFormat="1" ht="54.75" customHeight="1" x14ac:dyDescent="0.25">
      <c r="A64" s="6">
        <v>16</v>
      </c>
      <c r="B64" s="13">
        <v>45427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1</v>
      </c>
      <c r="O64" s="6">
        <v>0</v>
      </c>
      <c r="P64" s="6" t="s">
        <v>152</v>
      </c>
      <c r="Q64" s="15">
        <f>36330/1000</f>
        <v>36.33</v>
      </c>
      <c r="R64" s="6" t="s">
        <v>33</v>
      </c>
      <c r="S64" s="6">
        <v>1</v>
      </c>
      <c r="T64" s="15">
        <f t="shared" si="1"/>
        <v>36.33</v>
      </c>
      <c r="U64" s="6" t="s">
        <v>157</v>
      </c>
      <c r="W64" s="6" t="s">
        <v>169</v>
      </c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</row>
    <row r="65" spans="1:208" s="6" customFormat="1" ht="39.950000000000003" customHeight="1" x14ac:dyDescent="0.25">
      <c r="A65" s="6">
        <v>17</v>
      </c>
      <c r="B65" s="13">
        <v>45429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1</v>
      </c>
      <c r="L65" s="6">
        <v>0</v>
      </c>
      <c r="M65" s="6">
        <v>0</v>
      </c>
      <c r="N65" s="6">
        <v>0</v>
      </c>
      <c r="O65" s="6">
        <v>0</v>
      </c>
      <c r="P65" s="6" t="s">
        <v>229</v>
      </c>
      <c r="Q65" s="15">
        <f>8942695.59/1000</f>
        <v>8942.6955899999994</v>
      </c>
      <c r="R65" s="6" t="s">
        <v>33</v>
      </c>
      <c r="S65" s="6">
        <v>1</v>
      </c>
      <c r="T65" s="15">
        <f t="shared" si="1"/>
        <v>8942.6955899999994</v>
      </c>
      <c r="U65" s="6" t="s">
        <v>158</v>
      </c>
      <c r="V65" s="11"/>
      <c r="W65" s="6" t="s">
        <v>170</v>
      </c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</row>
    <row r="66" spans="1:208" s="6" customFormat="1" ht="39.950000000000003" customHeight="1" x14ac:dyDescent="0.25">
      <c r="A66" s="6">
        <v>18</v>
      </c>
      <c r="B66" s="13">
        <v>45434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1</v>
      </c>
      <c r="L66" s="6">
        <v>0</v>
      </c>
      <c r="M66" s="6">
        <v>0</v>
      </c>
      <c r="N66" s="6">
        <v>0</v>
      </c>
      <c r="O66" s="6">
        <v>0</v>
      </c>
      <c r="P66" s="6" t="s">
        <v>230</v>
      </c>
      <c r="Q66" s="15">
        <f>28581067.16/1000</f>
        <v>28581.067159999999</v>
      </c>
      <c r="R66" s="6" t="s">
        <v>33</v>
      </c>
      <c r="S66" s="6">
        <v>1</v>
      </c>
      <c r="T66" s="15">
        <f t="shared" si="1"/>
        <v>28581.067159999999</v>
      </c>
      <c r="U66" s="6" t="s">
        <v>159</v>
      </c>
      <c r="W66" s="6" t="s">
        <v>171</v>
      </c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</row>
    <row r="67" spans="1:208" s="6" customFormat="1" ht="39.950000000000003" customHeight="1" x14ac:dyDescent="0.25">
      <c r="A67" s="6">
        <v>19</v>
      </c>
      <c r="B67" s="13">
        <v>45434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1</v>
      </c>
      <c r="L67" s="6">
        <v>0</v>
      </c>
      <c r="M67" s="6">
        <v>0</v>
      </c>
      <c r="N67" s="6">
        <v>0</v>
      </c>
      <c r="O67" s="6">
        <v>0</v>
      </c>
      <c r="P67" s="6" t="s">
        <v>153</v>
      </c>
      <c r="Q67" s="15">
        <f>54380917.95/1000</f>
        <v>54380.917950000003</v>
      </c>
      <c r="R67" s="6" t="s">
        <v>33</v>
      </c>
      <c r="S67" s="6">
        <v>1</v>
      </c>
      <c r="T67" s="15">
        <f t="shared" si="1"/>
        <v>54380.917950000003</v>
      </c>
      <c r="U67" s="6" t="s">
        <v>159</v>
      </c>
      <c r="W67" s="6" t="s">
        <v>172</v>
      </c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</row>
    <row r="68" spans="1:208" s="6" customFormat="1" ht="39.950000000000003" customHeight="1" x14ac:dyDescent="0.25">
      <c r="A68" s="6">
        <v>20</v>
      </c>
      <c r="B68" s="13">
        <v>45432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1</v>
      </c>
      <c r="O68" s="6">
        <v>0</v>
      </c>
      <c r="P68" s="6" t="s">
        <v>231</v>
      </c>
      <c r="Q68" s="15">
        <f>1227433/1000</f>
        <v>1227.433</v>
      </c>
      <c r="R68" s="6" t="s">
        <v>33</v>
      </c>
      <c r="S68" s="6">
        <v>1</v>
      </c>
      <c r="T68" s="15">
        <f t="shared" si="1"/>
        <v>1227.433</v>
      </c>
      <c r="U68" s="6" t="s">
        <v>160</v>
      </c>
      <c r="W68" s="6" t="s">
        <v>173</v>
      </c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</row>
    <row r="69" spans="1:208" s="6" customFormat="1" ht="39.950000000000003" customHeight="1" x14ac:dyDescent="0.25">
      <c r="A69" s="6">
        <v>21</v>
      </c>
      <c r="B69" s="13">
        <v>45443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1</v>
      </c>
      <c r="O69" s="6">
        <v>0</v>
      </c>
      <c r="P69" s="6" t="s">
        <v>232</v>
      </c>
      <c r="Q69" s="15">
        <f>400000/1000</f>
        <v>400</v>
      </c>
      <c r="R69" s="6" t="s">
        <v>33</v>
      </c>
      <c r="S69" s="6">
        <v>1</v>
      </c>
      <c r="T69" s="15">
        <f t="shared" si="1"/>
        <v>400</v>
      </c>
      <c r="U69" s="6" t="s">
        <v>161</v>
      </c>
      <c r="W69" s="6" t="s">
        <v>174</v>
      </c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</row>
    <row r="70" spans="1:208" s="6" customFormat="1" ht="39.950000000000003" customHeight="1" x14ac:dyDescent="0.25">
      <c r="A70" s="6">
        <v>22</v>
      </c>
      <c r="B70" s="13">
        <v>45434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1</v>
      </c>
      <c r="O70" s="6">
        <v>0</v>
      </c>
      <c r="P70" s="6" t="s">
        <v>99</v>
      </c>
      <c r="Q70" s="15">
        <f>225733.68/1000</f>
        <v>225.73367999999999</v>
      </c>
      <c r="R70" s="6" t="s">
        <v>34</v>
      </c>
      <c r="S70" s="6">
        <v>1</v>
      </c>
      <c r="T70" s="15">
        <f>Q70</f>
        <v>225.73367999999999</v>
      </c>
      <c r="U70" s="6" t="s">
        <v>100</v>
      </c>
      <c r="W70" s="6" t="s">
        <v>106</v>
      </c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</row>
    <row r="71" spans="1:208" s="9" customFormat="1" ht="30" customHeight="1" x14ac:dyDescent="0.25">
      <c r="A71" s="6">
        <v>23</v>
      </c>
      <c r="B71" s="10">
        <v>45428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1</v>
      </c>
      <c r="O71" s="6">
        <v>0</v>
      </c>
      <c r="P71" s="11" t="s">
        <v>182</v>
      </c>
      <c r="Q71" s="12">
        <f>2310096/1000</f>
        <v>2310.096</v>
      </c>
      <c r="R71" s="6" t="s">
        <v>32</v>
      </c>
      <c r="S71" s="6"/>
      <c r="T71" s="12"/>
      <c r="U71" s="6" t="s">
        <v>188</v>
      </c>
      <c r="V71" s="6"/>
      <c r="W71" s="6" t="s">
        <v>185</v>
      </c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</row>
    <row r="72" spans="1:208" s="9" customFormat="1" ht="30" customHeight="1" x14ac:dyDescent="0.25">
      <c r="A72" s="6">
        <v>24</v>
      </c>
      <c r="B72" s="10">
        <v>45415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1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11" t="s">
        <v>183</v>
      </c>
      <c r="Q72" s="12">
        <v>129688162.12</v>
      </c>
      <c r="R72" s="6" t="s">
        <v>32</v>
      </c>
      <c r="S72" s="6"/>
      <c r="T72" s="12"/>
      <c r="U72" s="6" t="s">
        <v>189</v>
      </c>
      <c r="V72" s="6"/>
      <c r="W72" s="6" t="s">
        <v>186</v>
      </c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</row>
    <row r="73" spans="1:208" s="9" customFormat="1" ht="30" customHeight="1" x14ac:dyDescent="0.25">
      <c r="A73" s="6">
        <v>25</v>
      </c>
      <c r="B73" s="10">
        <v>45419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1</v>
      </c>
      <c r="O73" s="6">
        <v>0</v>
      </c>
      <c r="P73" s="11" t="s">
        <v>184</v>
      </c>
      <c r="Q73" s="6">
        <v>18150159.719999999</v>
      </c>
      <c r="R73" s="6" t="s">
        <v>32</v>
      </c>
      <c r="S73" s="6"/>
      <c r="T73" s="6"/>
      <c r="U73" s="6" t="s">
        <v>190</v>
      </c>
      <c r="V73" s="6"/>
      <c r="W73" s="6" t="s">
        <v>187</v>
      </c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</row>
    <row r="74" spans="1:208" s="17" customFormat="1" ht="24.75" customHeight="1" x14ac:dyDescent="0.25">
      <c r="A74" s="21" t="s">
        <v>137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3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1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</row>
    <row r="75" spans="1:208" s="18" customFormat="1" ht="39.950000000000003" customHeight="1" x14ac:dyDescent="0.25">
      <c r="A75" s="6">
        <v>1</v>
      </c>
      <c r="B75" s="13">
        <v>45427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1</v>
      </c>
      <c r="O75" s="6">
        <v>0</v>
      </c>
      <c r="P75" s="6" t="s">
        <v>138</v>
      </c>
      <c r="Q75" s="15">
        <f>1145077.38/1000</f>
        <v>1145.0773799999999</v>
      </c>
      <c r="R75" s="6" t="s">
        <v>33</v>
      </c>
      <c r="S75" s="6">
        <v>1</v>
      </c>
      <c r="T75" s="15">
        <f>Q75</f>
        <v>1145.0773799999999</v>
      </c>
      <c r="U75" s="6" t="s">
        <v>44</v>
      </c>
      <c r="V75" s="6"/>
      <c r="W75" s="6" t="s">
        <v>144</v>
      </c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</row>
    <row r="76" spans="1:208" s="6" customFormat="1" ht="39.950000000000003" customHeight="1" x14ac:dyDescent="0.25">
      <c r="A76" s="6">
        <v>2</v>
      </c>
      <c r="B76" s="13">
        <v>45433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1</v>
      </c>
      <c r="O76" s="6">
        <v>0</v>
      </c>
      <c r="P76" s="6" t="s">
        <v>47</v>
      </c>
      <c r="Q76" s="15">
        <f>8530456.07/1000</f>
        <v>8530.4560700000002</v>
      </c>
      <c r="R76" s="6" t="s">
        <v>33</v>
      </c>
      <c r="S76" s="6">
        <v>1</v>
      </c>
      <c r="T76" s="15">
        <f t="shared" ref="T76:T78" si="2">Q76</f>
        <v>8530.4560700000002</v>
      </c>
      <c r="U76" s="6" t="s">
        <v>141</v>
      </c>
      <c r="W76" s="6" t="s">
        <v>145</v>
      </c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</row>
    <row r="77" spans="1:208" s="6" customFormat="1" ht="39.950000000000003" customHeight="1" x14ac:dyDescent="0.25">
      <c r="A77" s="6">
        <v>3</v>
      </c>
      <c r="B77" s="13">
        <v>45426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1</v>
      </c>
      <c r="L77" s="6">
        <v>0</v>
      </c>
      <c r="M77" s="6">
        <v>0</v>
      </c>
      <c r="N77" s="6">
        <v>0</v>
      </c>
      <c r="O77" s="6">
        <v>0</v>
      </c>
      <c r="P77" s="6" t="s">
        <v>139</v>
      </c>
      <c r="Q77" s="15">
        <f>26017687.87/1000</f>
        <v>26017.687870000002</v>
      </c>
      <c r="R77" s="6" t="s">
        <v>33</v>
      </c>
      <c r="S77" s="6">
        <v>1</v>
      </c>
      <c r="T77" s="15">
        <f t="shared" si="2"/>
        <v>26017.687870000002</v>
      </c>
      <c r="U77" s="6" t="s">
        <v>142</v>
      </c>
      <c r="W77" s="6" t="s">
        <v>146</v>
      </c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</row>
    <row r="78" spans="1:208" s="6" customFormat="1" ht="39.950000000000003" customHeight="1" x14ac:dyDescent="0.25">
      <c r="A78" s="6">
        <v>4</v>
      </c>
      <c r="B78" s="13">
        <v>45432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1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 t="s">
        <v>140</v>
      </c>
      <c r="Q78" s="15">
        <f>3350648.8/1000</f>
        <v>3350.6487999999999</v>
      </c>
      <c r="R78" s="6" t="s">
        <v>33</v>
      </c>
      <c r="S78" s="6">
        <v>1</v>
      </c>
      <c r="T78" s="15">
        <f t="shared" si="2"/>
        <v>3350.6487999999999</v>
      </c>
      <c r="U78" s="6" t="s">
        <v>143</v>
      </c>
      <c r="W78" s="6" t="s">
        <v>147</v>
      </c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</row>
    <row r="79" spans="1:208" s="9" customFormat="1" ht="30" customHeight="1" x14ac:dyDescent="0.25">
      <c r="A79" s="20" t="s">
        <v>175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6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</row>
    <row r="80" spans="1:208" s="9" customFormat="1" ht="30" customHeight="1" x14ac:dyDescent="0.25">
      <c r="A80" s="6">
        <v>1</v>
      </c>
      <c r="B80" s="13">
        <v>45419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1</v>
      </c>
      <c r="O80" s="6">
        <v>0</v>
      </c>
      <c r="P80" s="14" t="s">
        <v>219</v>
      </c>
      <c r="Q80" s="12">
        <f>30064.98/1000</f>
        <v>30.064979999999998</v>
      </c>
      <c r="R80" s="6" t="s">
        <v>33</v>
      </c>
      <c r="S80" s="6">
        <v>1</v>
      </c>
      <c r="T80" s="12">
        <f>Q80</f>
        <v>30.064979999999998</v>
      </c>
      <c r="U80" s="6" t="s">
        <v>178</v>
      </c>
      <c r="V80" s="6"/>
      <c r="W80" s="6" t="s">
        <v>176</v>
      </c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</row>
    <row r="81" spans="1:208" s="9" customFormat="1" ht="30" customHeight="1" x14ac:dyDescent="0.25">
      <c r="A81" s="6">
        <v>2</v>
      </c>
      <c r="B81" s="13">
        <v>45439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1</v>
      </c>
      <c r="O81" s="6">
        <v>0</v>
      </c>
      <c r="P81" s="14" t="s">
        <v>218</v>
      </c>
      <c r="Q81" s="12">
        <f>17421733.33/1000</f>
        <v>17421.733329999999</v>
      </c>
      <c r="R81" s="6" t="s">
        <v>33</v>
      </c>
      <c r="S81" s="6">
        <v>1</v>
      </c>
      <c r="T81" s="12">
        <f>Q81</f>
        <v>17421.733329999999</v>
      </c>
      <c r="U81" s="6" t="s">
        <v>178</v>
      </c>
      <c r="V81" s="6"/>
      <c r="W81" s="6" t="s">
        <v>177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</row>
    <row r="82" spans="1:208" s="9" customFormat="1" ht="30" customHeight="1" x14ac:dyDescent="0.25">
      <c r="A82" s="6">
        <v>3</v>
      </c>
      <c r="B82" s="13">
        <v>45426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1</v>
      </c>
      <c r="O82" s="6">
        <v>0</v>
      </c>
      <c r="P82" s="14" t="s">
        <v>220</v>
      </c>
      <c r="Q82" s="12">
        <f>5542.86/1000</f>
        <v>5.5428599999999992</v>
      </c>
      <c r="R82" s="6" t="s">
        <v>33</v>
      </c>
      <c r="S82" s="6">
        <v>1</v>
      </c>
      <c r="T82" s="12">
        <f t="shared" ref="T82:T84" si="3">Q82</f>
        <v>5.5428599999999992</v>
      </c>
      <c r="U82" s="6" t="s">
        <v>37</v>
      </c>
      <c r="V82" s="6"/>
      <c r="W82" s="6" t="s">
        <v>179</v>
      </c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</row>
    <row r="83" spans="1:208" s="9" customFormat="1" ht="30" customHeight="1" x14ac:dyDescent="0.25">
      <c r="A83" s="6">
        <v>4</v>
      </c>
      <c r="B83" s="13">
        <v>45429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1</v>
      </c>
      <c r="O83" s="6">
        <v>0</v>
      </c>
      <c r="P83" s="11" t="s">
        <v>221</v>
      </c>
      <c r="Q83" s="6">
        <f>4052.32/1000</f>
        <v>4.0523199999999999</v>
      </c>
      <c r="R83" s="6" t="s">
        <v>33</v>
      </c>
      <c r="S83" s="6">
        <v>1</v>
      </c>
      <c r="T83" s="12">
        <f t="shared" si="3"/>
        <v>4.0523199999999999</v>
      </c>
      <c r="U83" s="6" t="s">
        <v>37</v>
      </c>
      <c r="V83" s="6"/>
      <c r="W83" s="6" t="s">
        <v>180</v>
      </c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</row>
    <row r="84" spans="1:208" s="9" customFormat="1" ht="30" customHeight="1" x14ac:dyDescent="0.25">
      <c r="A84" s="6">
        <v>5</v>
      </c>
      <c r="B84" s="10">
        <v>45426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1</v>
      </c>
      <c r="O84" s="6">
        <v>0</v>
      </c>
      <c r="P84" s="11" t="s">
        <v>222</v>
      </c>
      <c r="Q84" s="15">
        <f>344.18/1000</f>
        <v>0.34417999999999999</v>
      </c>
      <c r="R84" s="6" t="s">
        <v>33</v>
      </c>
      <c r="S84" s="6">
        <v>1</v>
      </c>
      <c r="T84" s="12">
        <f t="shared" si="3"/>
        <v>0.34417999999999999</v>
      </c>
      <c r="U84" s="6" t="s">
        <v>37</v>
      </c>
      <c r="V84" s="6"/>
      <c r="W84" s="6" t="s">
        <v>181</v>
      </c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</row>
  </sheetData>
  <autoFilter ref="A9:X78"/>
  <mergeCells count="26">
    <mergeCell ref="A79:V79"/>
    <mergeCell ref="A74:W74"/>
    <mergeCell ref="A48:W48"/>
    <mergeCell ref="W4:W8"/>
    <mergeCell ref="A1:W3"/>
    <mergeCell ref="N7:N8"/>
    <mergeCell ref="O7:O8"/>
    <mergeCell ref="U4:U8"/>
    <mergeCell ref="V4:V8"/>
    <mergeCell ref="C5:M5"/>
    <mergeCell ref="N5:O6"/>
    <mergeCell ref="C6:L6"/>
    <mergeCell ref="M6:M8"/>
    <mergeCell ref="C7:E7"/>
    <mergeCell ref="F7:H7"/>
    <mergeCell ref="I7:J7"/>
    <mergeCell ref="K7:L7"/>
    <mergeCell ref="A4:A8"/>
    <mergeCell ref="B4:B8"/>
    <mergeCell ref="C4:O4"/>
    <mergeCell ref="P4:P8"/>
    <mergeCell ref="Q4:Q8"/>
    <mergeCell ref="R4:R8"/>
    <mergeCell ref="S4:S8"/>
    <mergeCell ref="T4:T8"/>
    <mergeCell ref="A10:W10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2024 г.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Комарова Елена Александровна</cp:lastModifiedBy>
  <cp:lastPrinted>2019-08-07T09:44:10Z</cp:lastPrinted>
  <dcterms:created xsi:type="dcterms:W3CDTF">2019-04-18T07:14:20Z</dcterms:created>
  <dcterms:modified xsi:type="dcterms:W3CDTF">2024-06-07T02:42:23Z</dcterms:modified>
</cp:coreProperties>
</file>